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autoCompressPictures="0"/>
  <bookViews>
    <workbookView minimized="1" xWindow="480" yWindow="120" windowWidth="25980" windowHeight="16660" activeTab="4"/>
  </bookViews>
  <sheets>
    <sheet name="Intro" sheetId="5" r:id="rId1"/>
    <sheet name="Input Page" sheetId="1" r:id="rId2"/>
    <sheet name="Feeding Table" sheetId="2" r:id="rId3"/>
    <sheet name="Water Delivery Exp" sheetId="4" r:id="rId4"/>
    <sheet name="Output" sheetId="3" r:id="rId5"/>
    <sheet name="Output - Decay Rate" sheetId="6" r:id="rId6"/>
    <sheet name="Serial Dilution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  <c r="L3" i="1"/>
  <c r="D4" i="2"/>
  <c r="F4" i="2"/>
  <c r="D5" i="2"/>
  <c r="F5" i="2"/>
  <c r="D6" i="2"/>
  <c r="F6" i="2"/>
  <c r="D7" i="2"/>
  <c r="F7" i="2"/>
  <c r="D8" i="2"/>
  <c r="F8" i="2"/>
  <c r="F9" i="2"/>
  <c r="G3" i="3"/>
  <c r="G4" i="3"/>
  <c r="K4" i="3"/>
  <c r="N4" i="3"/>
  <c r="N5" i="3"/>
  <c r="G7" i="3"/>
  <c r="G12" i="3"/>
  <c r="K12" i="3"/>
  <c r="K13" i="3"/>
  <c r="O28" i="1"/>
  <c r="G32" i="1"/>
  <c r="O32" i="1"/>
  <c r="E13" i="4"/>
  <c r="B12" i="7"/>
  <c r="B4" i="7"/>
  <c r="K14" i="3"/>
  <c r="G33" i="1"/>
  <c r="G34" i="1"/>
  <c r="G37" i="1"/>
  <c r="A4" i="7"/>
  <c r="A5" i="7"/>
  <c r="A6" i="7"/>
  <c r="A7" i="7"/>
  <c r="A8" i="7"/>
  <c r="A9" i="7"/>
  <c r="C4" i="7"/>
  <c r="C7" i="7"/>
  <c r="C6" i="7"/>
  <c r="C5" i="7"/>
  <c r="B5" i="7"/>
  <c r="B6" i="7"/>
  <c r="B7" i="7"/>
  <c r="B8" i="7"/>
  <c r="B9" i="7"/>
  <c r="T24" i="4"/>
  <c r="T25" i="4"/>
  <c r="T26" i="4"/>
  <c r="T29" i="4"/>
  <c r="R9" i="4"/>
  <c r="T9" i="4"/>
  <c r="U9" i="4"/>
  <c r="V9" i="4"/>
  <c r="W15" i="4"/>
  <c r="T7" i="4"/>
  <c r="U7" i="4"/>
  <c r="V7" i="4"/>
  <c r="Y7" i="4"/>
  <c r="Y12" i="4"/>
  <c r="Y13" i="4"/>
  <c r="X9" i="4"/>
  <c r="R8" i="4"/>
  <c r="T8" i="4"/>
  <c r="U8" i="4"/>
  <c r="V8" i="4"/>
  <c r="T10" i="4"/>
  <c r="U10" i="4"/>
  <c r="V10" i="4"/>
  <c r="T11" i="4"/>
  <c r="U11" i="4"/>
  <c r="V11" i="4"/>
  <c r="T12" i="4"/>
  <c r="U12" i="4"/>
  <c r="V12" i="4"/>
  <c r="T6" i="4"/>
  <c r="U6" i="4"/>
  <c r="V6" i="4"/>
  <c r="Q28" i="1"/>
  <c r="G35" i="1"/>
  <c r="M17" i="3"/>
  <c r="E14" i="4"/>
  <c r="E15" i="4"/>
  <c r="E16" i="4"/>
  <c r="E17" i="4"/>
  <c r="E10" i="4"/>
  <c r="E11" i="4"/>
  <c r="E12" i="4"/>
  <c r="I29" i="4"/>
  <c r="N17" i="3"/>
  <c r="O17" i="3"/>
  <c r="P17" i="3"/>
  <c r="P18" i="3"/>
  <c r="E19" i="3"/>
  <c r="D19" i="3"/>
  <c r="G19" i="3"/>
  <c r="G20" i="3"/>
  <c r="G23" i="1"/>
  <c r="G22" i="1"/>
  <c r="G5" i="2"/>
  <c r="G6" i="2"/>
  <c r="G7" i="2"/>
  <c r="G8" i="2"/>
  <c r="E9" i="2"/>
  <c r="D4" i="6"/>
  <c r="D10" i="6"/>
  <c r="D7" i="6"/>
  <c r="D5" i="6"/>
  <c r="D8" i="6"/>
  <c r="D9" i="6"/>
  <c r="D6" i="6"/>
  <c r="D9" i="2"/>
  <c r="G4" i="2"/>
  <c r="G9" i="2"/>
  <c r="P19" i="3"/>
  <c r="O19" i="3"/>
  <c r="N19" i="3"/>
  <c r="D20" i="3"/>
  <c r="E20" i="3"/>
</calcChain>
</file>

<file path=xl/sharedStrings.xml><?xml version="1.0" encoding="utf-8"?>
<sst xmlns="http://schemas.openxmlformats.org/spreadsheetml/2006/main" count="115" uniqueCount="102">
  <si>
    <t>How many mussels are in each tub?</t>
  </si>
  <si>
    <t>Mussel Info</t>
  </si>
  <si>
    <t>Cooler Setup Info</t>
  </si>
  <si>
    <t>Food Supply Info</t>
  </si>
  <si>
    <t>How much food would you like to supply: 5% - maximum growth or 2% - maintainance?</t>
  </si>
  <si>
    <t>&lt;-- input either 0.05 or 0.02</t>
  </si>
  <si>
    <t>What is the average wet meat weight of one of your mussels?</t>
  </si>
  <si>
    <t>What is the flow rate of the drippers supplying water to the tubs (ml/min)?</t>
  </si>
  <si>
    <t>What is the flow rate of the peristaltic pump supplying food to the tubs (ml/min)?</t>
  </si>
  <si>
    <t>What is the slope of the [food]/time experimental curve for one tub?</t>
  </si>
  <si>
    <t>What is the dry weight of your algae supply?</t>
  </si>
  <si>
    <t>&lt;-- report as a percent</t>
  </si>
  <si>
    <t>Isochrysis</t>
  </si>
  <si>
    <t>Pavlova</t>
  </si>
  <si>
    <t>TW (Thalassiosira weissflogii)</t>
  </si>
  <si>
    <t>Tetraselmis</t>
  </si>
  <si>
    <t>Nannochloropsis</t>
  </si>
  <si>
    <t>Species of Algae</t>
  </si>
  <si>
    <t>% of Feed</t>
  </si>
  <si>
    <t>Dry Weight (grams)</t>
  </si>
  <si>
    <t>Dry weight of algae mixture (%)</t>
  </si>
  <si>
    <t>ml's of Instant Algae needed</t>
  </si>
  <si>
    <t>Equivalent ml of live algae</t>
  </si>
  <si>
    <t>Shellfish Diet 1800 Table</t>
  </si>
  <si>
    <t>grams</t>
  </si>
  <si>
    <t>Results of Food Delivery Exp.</t>
  </si>
  <si>
    <t>&lt;-- automatically filled by sheet 4</t>
  </si>
  <si>
    <t>Time (min)</t>
  </si>
  <si>
    <t>Food Injection</t>
  </si>
  <si>
    <t>Food Decay</t>
  </si>
  <si>
    <t>What is the intercept of the food [food]/time experimental curve for one tub?</t>
  </si>
  <si>
    <t>Results of Food Decay Exp.</t>
  </si>
  <si>
    <t>Recorded Absorbance @ 487 nm</t>
  </si>
  <si>
    <t>ABS of Fluorescene Dye</t>
  </si>
  <si>
    <t>ABS of Source Water</t>
  </si>
  <si>
    <t xml:space="preserve">&lt;-- use this as your zero </t>
  </si>
  <si>
    <t>ml/min</t>
  </si>
  <si>
    <t>ml</t>
  </si>
  <si>
    <t>How many tubs are in each cooler?</t>
  </si>
  <si>
    <t>Concentration of food upon delivery:</t>
  </si>
  <si>
    <t>Total Instant Algae needed for cooler:</t>
  </si>
  <si>
    <t>Ml of instant Algae needed Per tub:</t>
  </si>
  <si>
    <t>Length of time you want the peristalitc pump to run?</t>
  </si>
  <si>
    <t>Additional Food Questions</t>
  </si>
  <si>
    <t>&lt;-- Target [Food]</t>
  </si>
  <si>
    <t>cells/ml</t>
  </si>
  <si>
    <t>Cell count needed in Food Source:</t>
  </si>
  <si>
    <t>Take this much Food:</t>
  </si>
  <si>
    <t>Add this much water:</t>
  </si>
  <si>
    <t>Food Mixture Recipe</t>
  </si>
  <si>
    <t>Variable Food Mixture Recipe</t>
  </si>
  <si>
    <t>Treatment</t>
  </si>
  <si>
    <t>cell count</t>
  </si>
  <si>
    <t>ml Food</t>
  </si>
  <si>
    <t>ml water</t>
  </si>
  <si>
    <t>How many times would you like to feed each day?</t>
  </si>
  <si>
    <t>minutes (length of on/off cycle)</t>
  </si>
  <si>
    <t>Food Usage per Day</t>
  </si>
  <si>
    <t>How many Coolers are being used in this experiment?</t>
  </si>
  <si>
    <t>ml of food used per day</t>
  </si>
  <si>
    <t>&lt;-- cells per ml of tub after 5 minutes</t>
  </si>
  <si>
    <t>Time</t>
  </si>
  <si>
    <t>Maximum of 5760 cycles (every 15 seconds)</t>
  </si>
  <si>
    <t>seconds that the pump is running</t>
  </si>
  <si>
    <t>minutes that the pump is running</t>
  </si>
  <si>
    <t>ml consumed daily</t>
  </si>
  <si>
    <t>L consumed daily</t>
  </si>
  <si>
    <t>Cycle Time</t>
  </si>
  <si>
    <t>minutes</t>
  </si>
  <si>
    <t xml:space="preserve">% on </t>
  </si>
  <si>
    <t>%</t>
  </si>
  <si>
    <t>Seconds on</t>
  </si>
  <si>
    <t>evey</t>
  </si>
  <si>
    <t>minute</t>
  </si>
  <si>
    <t>Once per minute = 1440 times per day</t>
  </si>
  <si>
    <t>Food Needed Per Day</t>
  </si>
  <si>
    <t>Food Delivered</t>
  </si>
  <si>
    <t>Tank</t>
  </si>
  <si>
    <t>low</t>
  </si>
  <si>
    <t>Mid</t>
  </si>
  <si>
    <t>High</t>
  </si>
  <si>
    <t>Cells Counted</t>
  </si>
  <si>
    <t>Number of boxes counted</t>
  </si>
  <si>
    <t>Area (mm^2) per box</t>
  </si>
  <si>
    <t>Cell/ml</t>
  </si>
  <si>
    <t>Total area (mm^2)</t>
  </si>
  <si>
    <t>101A</t>
  </si>
  <si>
    <t>101b</t>
  </si>
  <si>
    <t>102A</t>
  </si>
  <si>
    <t>Good - zero</t>
  </si>
  <si>
    <t>10 ml of food</t>
  </si>
  <si>
    <t>&lt;-- cells per ml of stock</t>
  </si>
  <si>
    <t>&lt;-- cells per bucket</t>
  </si>
  <si>
    <t>Cell Count</t>
  </si>
  <si>
    <t>Projected Cells/ml</t>
  </si>
  <si>
    <t>Dilution</t>
  </si>
  <si>
    <t>Cell counts predict that concentration of stock is not 2 Billion but rather 1 million</t>
  </si>
  <si>
    <t>Predictted cells/ml</t>
  </si>
  <si>
    <t>&lt;-- cells per ml of source should match G7</t>
  </si>
  <si>
    <t>Once per hour = 24</t>
  </si>
  <si>
    <t>Cells consumed per day</t>
  </si>
  <si>
    <t>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</si>
</sst>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3" fillId="0" borderId="0" xfId="3" applyFont="1" applyAlignment="1">
      <alignment horizontal="center"/>
    </xf>
    <xf numFmtId="44" fontId="4" fillId="0" borderId="0" xfId="3" applyFont="1" applyAlignment="1">
      <alignment horizontal="center"/>
    </xf>
    <xf numFmtId="0" fontId="0" fillId="0" borderId="0" xfId="0" applyNumberFormat="1"/>
    <xf numFmtId="0" fontId="3" fillId="0" borderId="0" xfId="1" quotePrefix="1" applyAlignment="1">
      <alignment horizontal="center" wrapText="1"/>
    </xf>
    <xf numFmtId="0" fontId="3" fillId="0" borderId="2" xfId="1" applyNumberFormat="1" applyBorder="1" applyAlignment="1">
      <alignment horizontal="center" wrapText="1"/>
    </xf>
    <xf numFmtId="0" fontId="3" fillId="0" borderId="2" xfId="1" applyBorder="1" applyAlignment="1">
      <alignment horizontal="center" wrapText="1"/>
    </xf>
    <xf numFmtId="0" fontId="3" fillId="0" borderId="2" xfId="1" quotePrefix="1" applyBorder="1" applyAlignment="1">
      <alignment horizontal="center" wrapText="1"/>
    </xf>
    <xf numFmtId="164" fontId="3" fillId="0" borderId="3" xfId="1" quotePrefix="1" applyNumberFormat="1" applyBorder="1" applyAlignment="1">
      <alignment horizontal="center" wrapText="1"/>
    </xf>
    <xf numFmtId="0" fontId="3" fillId="0" borderId="6" xfId="1" applyBorder="1" applyAlignment="1">
      <alignment horizontal="left"/>
    </xf>
    <xf numFmtId="9" fontId="3" fillId="0" borderId="6" xfId="5" applyFont="1" applyBorder="1" applyAlignment="1">
      <alignment horizontal="center"/>
    </xf>
    <xf numFmtId="165" fontId="3" fillId="0" borderId="6" xfId="5" applyNumberFormat="1" applyFont="1" applyBorder="1" applyAlignment="1">
      <alignment horizontal="center"/>
    </xf>
    <xf numFmtId="0" fontId="3" fillId="0" borderId="6" xfId="1" applyBorder="1"/>
    <xf numFmtId="9" fontId="4" fillId="0" borderId="6" xfId="5" applyFont="1" applyBorder="1" applyAlignment="1">
      <alignment horizontal="center"/>
    </xf>
    <xf numFmtId="0" fontId="4" fillId="0" borderId="6" xfId="5" applyNumberFormat="1" applyFont="1" applyBorder="1" applyAlignment="1">
      <alignment horizontal="center"/>
    </xf>
    <xf numFmtId="0" fontId="3" fillId="0" borderId="7" xfId="1" applyBorder="1" applyAlignment="1">
      <alignment horizontal="left"/>
    </xf>
    <xf numFmtId="9" fontId="3" fillId="0" borderId="7" xfId="5" applyFont="1" applyBorder="1" applyAlignment="1">
      <alignment horizontal="center"/>
    </xf>
    <xf numFmtId="0" fontId="3" fillId="0" borderId="7" xfId="1" applyNumberFormat="1" applyBorder="1" applyAlignment="1">
      <alignment horizontal="center"/>
    </xf>
    <xf numFmtId="165" fontId="3" fillId="0" borderId="7" xfId="5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2" xfId="2" applyNumberFormat="1" applyFont="1" applyBorder="1" applyAlignment="1">
      <alignment horizontal="center" wrapText="1"/>
    </xf>
    <xf numFmtId="0" fontId="5" fillId="0" borderId="7" xfId="1" applyNumberFormat="1" applyFont="1" applyBorder="1" applyAlignment="1">
      <alignment horizontal="center"/>
    </xf>
    <xf numFmtId="0" fontId="3" fillId="0" borderId="7" xfId="2" applyNumberFormat="1" applyFont="1" applyBorder="1" applyAlignment="1">
      <alignment horizontal="center"/>
    </xf>
    <xf numFmtId="0" fontId="5" fillId="0" borderId="6" xfId="1" applyNumberFormat="1" applyFont="1" applyBorder="1" applyAlignment="1">
      <alignment horizontal="center"/>
    </xf>
    <xf numFmtId="0" fontId="3" fillId="0" borderId="6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" fillId="0" borderId="0" xfId="0" applyFont="1" applyAlignment="1">
      <alignment horizontal="left"/>
    </xf>
    <xf numFmtId="0" fontId="0" fillId="0" borderId="0" xfId="0"/>
    <xf numFmtId="0" fontId="0" fillId="0" borderId="0" xfId="0"/>
    <xf numFmtId="9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9" fontId="0" fillId="2" borderId="0" xfId="0" applyNumberFormat="1" applyFill="1"/>
    <xf numFmtId="0" fontId="0" fillId="2" borderId="0" xfId="0" applyFill="1"/>
    <xf numFmtId="20" fontId="0" fillId="0" borderId="0" xfId="0" applyNumberFormat="1"/>
    <xf numFmtId="18" fontId="0" fillId="0" borderId="0" xfId="0" applyNumberFormat="1"/>
    <xf numFmtId="2" fontId="0" fillId="0" borderId="0" xfId="0" applyNumberFormat="1"/>
    <xf numFmtId="4" fontId="0" fillId="0" borderId="0" xfId="0" applyNumberFormat="1"/>
    <xf numFmtId="3" fontId="0" fillId="2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7" fillId="0" borderId="0" xfId="1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Comma 2" xfId="2"/>
    <cellStyle name="Currency 2" xfId="3"/>
    <cellStyle name="Hyperlink 2" xfId="4"/>
    <cellStyle name="Normal" xfId="0" builtinId="0"/>
    <cellStyle name="Normal 2" xfId="1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12398503166642"/>
          <c:y val="0.0253699370150767"/>
          <c:w val="0.918446757874406"/>
          <c:h val="0.926525746162447"/>
        </c:manualLayout>
      </c:layout>
      <c:scatterChart>
        <c:scatterStyle val="lineMarker"/>
        <c:varyColors val="0"/>
        <c:ser>
          <c:idx val="0"/>
          <c:order val="0"/>
          <c:tx>
            <c:v>Food Injection</c:v>
          </c:tx>
          <c:spPr>
            <a:ln w="28575">
              <a:noFill/>
            </a:ln>
          </c:spPr>
          <c:trendline>
            <c:trendlineType val="linear"/>
            <c:intercept val="0.0"/>
            <c:dispRSqr val="1"/>
            <c:dispEq val="1"/>
            <c:trendlineLbl>
              <c:layout>
                <c:manualLayout>
                  <c:x val="0.154887014424148"/>
                  <c:y val="0.526592983216547"/>
                </c:manualLayout>
              </c:layout>
              <c:numFmt formatCode="General" sourceLinked="0"/>
            </c:trendlineLbl>
          </c:trendline>
          <c:xVal>
            <c:numRef>
              <c:f>'Water Delivery Exp'!$B$10:$B$17</c:f>
              <c:numCache>
                <c:formatCode>General</c:formatCode>
                <c:ptCount val="8"/>
                <c:pt idx="0">
                  <c:v>0.0</c:v>
                </c:pt>
                <c:pt idx="1">
                  <c:v>1.0</c:v>
                </c:pt>
                <c:pt idx="2">
                  <c:v>4.0</c:v>
                </c:pt>
                <c:pt idx="3">
                  <c:v>5.0</c:v>
                </c:pt>
                <c:pt idx="4">
                  <c:v>7.0</c:v>
                </c:pt>
                <c:pt idx="5">
                  <c:v>10.0</c:v>
                </c:pt>
                <c:pt idx="6">
                  <c:v>15.0</c:v>
                </c:pt>
                <c:pt idx="7">
                  <c:v>20.0</c:v>
                </c:pt>
              </c:numCache>
            </c:numRef>
          </c:xVal>
          <c:yVal>
            <c:numRef>
              <c:f>'Water Delivery Exp'!$C$10:$C$17</c:f>
              <c:numCache>
                <c:formatCode>General</c:formatCode>
                <c:ptCount val="8"/>
                <c:pt idx="0">
                  <c:v>0.002</c:v>
                </c:pt>
                <c:pt idx="1">
                  <c:v>0.01</c:v>
                </c:pt>
                <c:pt idx="2">
                  <c:v>0.037</c:v>
                </c:pt>
                <c:pt idx="3">
                  <c:v>0.042</c:v>
                </c:pt>
                <c:pt idx="4">
                  <c:v>0.059</c:v>
                </c:pt>
                <c:pt idx="5">
                  <c:v>0.079</c:v>
                </c:pt>
                <c:pt idx="6">
                  <c:v>0.102</c:v>
                </c:pt>
                <c:pt idx="7">
                  <c:v>0.147</c:v>
                </c:pt>
              </c:numCache>
            </c:numRef>
          </c:yVal>
          <c:smooth val="0"/>
        </c:ser>
        <c:ser>
          <c:idx val="1"/>
          <c:order val="1"/>
          <c:tx>
            <c:v>Food Supply Decay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82026928796923"/>
                  <c:y val="-0.354352861855571"/>
                </c:manualLayout>
              </c:layout>
              <c:numFmt formatCode="General" sourceLinked="0"/>
            </c:trendlineLbl>
          </c:trendline>
          <c:xVal>
            <c:numRef>
              <c:f>'Water Delivery Exp'!$B$21:$B$29</c:f>
              <c:numCache>
                <c:formatCode>General</c:formatCode>
                <c:ptCount val="9"/>
                <c:pt idx="0">
                  <c:v>0.0</c:v>
                </c:pt>
                <c:pt idx="1">
                  <c:v>2.0</c:v>
                </c:pt>
                <c:pt idx="2">
                  <c:v>5.0</c:v>
                </c:pt>
                <c:pt idx="3">
                  <c:v>10.0</c:v>
                </c:pt>
                <c:pt idx="4">
                  <c:v>15.0</c:v>
                </c:pt>
                <c:pt idx="5">
                  <c:v>20.0</c:v>
                </c:pt>
                <c:pt idx="6">
                  <c:v>30.0</c:v>
                </c:pt>
                <c:pt idx="7">
                  <c:v>60.0</c:v>
                </c:pt>
                <c:pt idx="8">
                  <c:v>80.0</c:v>
                </c:pt>
              </c:numCache>
            </c:numRef>
          </c:xVal>
          <c:yVal>
            <c:numRef>
              <c:f>'Water Delivery Exp'!$C$21:$C$29</c:f>
              <c:numCache>
                <c:formatCode>General</c:formatCode>
                <c:ptCount val="9"/>
                <c:pt idx="0">
                  <c:v>0.147</c:v>
                </c:pt>
                <c:pt idx="1">
                  <c:v>0.14</c:v>
                </c:pt>
                <c:pt idx="2">
                  <c:v>0.137</c:v>
                </c:pt>
                <c:pt idx="3">
                  <c:v>0.113</c:v>
                </c:pt>
                <c:pt idx="4">
                  <c:v>0.11</c:v>
                </c:pt>
                <c:pt idx="5">
                  <c:v>0.108</c:v>
                </c:pt>
                <c:pt idx="6">
                  <c:v>0.095</c:v>
                </c:pt>
                <c:pt idx="7">
                  <c:v>0.07</c:v>
                </c:pt>
                <c:pt idx="8">
                  <c:v>0.047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651608"/>
        <c:axId val="534654456"/>
      </c:scatterChart>
      <c:valAx>
        <c:axId val="53465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4654456"/>
        <c:crosses val="autoZero"/>
        <c:crossBetween val="midCat"/>
      </c:valAx>
      <c:valAx>
        <c:axId val="534654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34651608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44036034980995"/>
          <c:y val="0.629165161694238"/>
          <c:w val="0.27519422576621"/>
          <c:h val="0.1873241991540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'Serial Dilution'!$C$2</c:f>
              <c:strCache>
                <c:ptCount val="1"/>
                <c:pt idx="0">
                  <c:v>Cell Count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.0"/>
            <c:dispRSqr val="0"/>
            <c:dispEq val="1"/>
            <c:trendlineLbl>
              <c:layout>
                <c:manualLayout>
                  <c:x val="-0.125845345922676"/>
                  <c:y val="0.10388597258676"/>
                </c:manualLayout>
              </c:layout>
              <c:numFmt formatCode="General" sourceLinked="0"/>
            </c:trendlineLbl>
          </c:trendline>
          <c:xVal>
            <c:numRef>
              <c:f>'Serial Dilution'!$A$4:$A$7</c:f>
              <c:numCache>
                <c:formatCode>General</c:formatCode>
                <c:ptCount val="4"/>
                <c:pt idx="0">
                  <c:v>0.1</c:v>
                </c:pt>
                <c:pt idx="1">
                  <c:v>0.01</c:v>
                </c:pt>
                <c:pt idx="2">
                  <c:v>0.001</c:v>
                </c:pt>
                <c:pt idx="3">
                  <c:v>0.0001</c:v>
                </c:pt>
              </c:numCache>
            </c:numRef>
          </c:xVal>
          <c:yVal>
            <c:numRef>
              <c:f>'Serial Dilution'!$C$4:$C$7</c:f>
              <c:numCache>
                <c:formatCode>General</c:formatCode>
                <c:ptCount val="4"/>
                <c:pt idx="0">
                  <c:v>124000.0</c:v>
                </c:pt>
                <c:pt idx="1">
                  <c:v>40000.0</c:v>
                </c:pt>
                <c:pt idx="2">
                  <c:v>3250.0</c:v>
                </c:pt>
                <c:pt idx="3">
                  <c:v>1600.0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49544"/>
        <c:axId val="534752360"/>
      </c:scatterChart>
      <c:valAx>
        <c:axId val="534749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4752360"/>
        <c:crosses val="autoZero"/>
        <c:crossBetween val="midCat"/>
      </c:valAx>
      <c:valAx>
        <c:axId val="534752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34749544"/>
        <c:crosses val="autoZero"/>
        <c:crossBetween val="midCat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285751</xdr:colOff>
      <xdr:row>9</xdr:row>
      <xdr:rowOff>114300</xdr:rowOff>
    </xdr:from>
    <xdr:to>
      <xdr:col>12</xdr:col>
      <xdr:colOff>466725</xdr:colOff>
      <xdr:row>23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732</xdr:colOff>
      <xdr:row>0</xdr:row>
      <xdr:rowOff>111001</xdr:rowOff>
    </xdr:from>
    <xdr:to>
      <xdr:col>10</xdr:col>
      <xdr:colOff>598608</xdr:colOff>
      <xdr:row>13</xdr:row>
      <xdr:rowOff>187201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9" sqref="N29:N30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workbookViewId="0">
      <selection activeCell="G27" sqref="G27"/>
    </sheetView>
  </sheetViews>
  <sheetFormatPr baseColWidth="10" defaultColWidth="8.83203125" defaultRowHeight="14" x14ac:dyDescent="0"/>
  <cols>
    <col min="5" max="5" width="43" style="1" customWidth="1"/>
    <col min="6" max="6" width="0.5" customWidth="1"/>
    <col min="7" max="7" width="12" style="2" bestFit="1" customWidth="1"/>
    <col min="8" max="8" width="0.5" customWidth="1"/>
    <col min="11" max="11" width="15.5" customWidth="1"/>
    <col min="14" max="14" width="11.5" customWidth="1"/>
    <col min="17" max="17" width="2" bestFit="1" customWidth="1"/>
  </cols>
  <sheetData>
    <row r="3" spans="1:12" ht="15" thickBot="1">
      <c r="A3" s="49" t="s">
        <v>1</v>
      </c>
      <c r="B3" s="49"/>
      <c r="C3" s="49"/>
      <c r="D3" s="49"/>
      <c r="E3" s="49"/>
      <c r="L3">
        <f>14.28-8.05</f>
        <v>6.2299999999999986</v>
      </c>
    </row>
    <row r="4" spans="1:12">
      <c r="E4" s="1" t="s">
        <v>6</v>
      </c>
      <c r="G4" s="27">
        <v>2</v>
      </c>
      <c r="I4" t="s">
        <v>24</v>
      </c>
      <c r="L4">
        <f>10.12-5.73</f>
        <v>4.3899999999999988</v>
      </c>
    </row>
    <row r="5" spans="1:12">
      <c r="E5" s="1" t="s">
        <v>0</v>
      </c>
      <c r="G5" s="37">
        <v>6</v>
      </c>
      <c r="L5">
        <f>12.75-7.53</f>
        <v>5.22</v>
      </c>
    </row>
    <row r="6" spans="1:12" s="35" customFormat="1">
      <c r="E6" s="1" t="s">
        <v>38</v>
      </c>
      <c r="G6" s="37">
        <v>8</v>
      </c>
      <c r="L6" s="35">
        <f>7.64-4.78</f>
        <v>2.8599999999999994</v>
      </c>
    </row>
    <row r="7" spans="1:12" ht="15" thickBot="1">
      <c r="E7" s="1" t="s">
        <v>58</v>
      </c>
      <c r="G7" s="28">
        <v>8</v>
      </c>
      <c r="L7">
        <f>12.05-5.78</f>
        <v>6.2700000000000005</v>
      </c>
    </row>
    <row r="8" spans="1:12" s="35" customFormat="1">
      <c r="E8" s="1"/>
      <c r="G8" s="2"/>
      <c r="L8" s="35">
        <f>10.04-5.97</f>
        <v>4.0699999999999994</v>
      </c>
    </row>
    <row r="9" spans="1:12" ht="15" thickBot="1">
      <c r="A9" s="49" t="s">
        <v>2</v>
      </c>
      <c r="B9" s="49"/>
      <c r="C9" s="49"/>
      <c r="D9" s="49"/>
      <c r="E9" s="49"/>
      <c r="L9">
        <f>16.25-10.35</f>
        <v>5.9</v>
      </c>
    </row>
    <row r="10" spans="1:12">
      <c r="E10" s="1" t="s">
        <v>7</v>
      </c>
      <c r="G10" s="27">
        <v>58</v>
      </c>
      <c r="I10" t="s">
        <v>36</v>
      </c>
      <c r="L10">
        <f>AVERAGE(L3:L9)</f>
        <v>4.9914285714285711</v>
      </c>
    </row>
    <row r="11" spans="1:12" ht="15" thickBot="1">
      <c r="E11" s="1" t="s">
        <v>8</v>
      </c>
      <c r="G11" s="28">
        <v>56</v>
      </c>
      <c r="I11" t="s">
        <v>36</v>
      </c>
    </row>
    <row r="13" spans="1:12" ht="15" thickBot="1">
      <c r="A13" s="49" t="s">
        <v>3</v>
      </c>
      <c r="B13" s="49"/>
      <c r="C13" s="49"/>
      <c r="D13" s="49"/>
      <c r="E13" s="49"/>
    </row>
    <row r="14" spans="1:12">
      <c r="E14" s="1" t="s">
        <v>4</v>
      </c>
      <c r="G14" s="27">
        <v>0.05</v>
      </c>
      <c r="I14" t="s">
        <v>5</v>
      </c>
    </row>
    <row r="15" spans="1:12" ht="15" thickBot="1">
      <c r="E15" s="1" t="s">
        <v>10</v>
      </c>
      <c r="G15" s="36">
        <v>0.09</v>
      </c>
      <c r="I15" t="s">
        <v>11</v>
      </c>
    </row>
    <row r="17" spans="1:18" ht="15" thickBot="1">
      <c r="A17" s="49" t="s">
        <v>25</v>
      </c>
      <c r="B17" s="49"/>
      <c r="C17" s="49"/>
      <c r="D17" s="49"/>
      <c r="E17" s="49"/>
    </row>
    <row r="18" spans="1:18">
      <c r="E18" s="1" t="s">
        <v>9</v>
      </c>
      <c r="G18" s="27">
        <v>7.4000000000000003E-3</v>
      </c>
      <c r="I18" s="50" t="s">
        <v>26</v>
      </c>
      <c r="J18" s="50"/>
      <c r="K18" s="50"/>
    </row>
    <row r="19" spans="1:18" ht="15" thickBot="1">
      <c r="E19" s="1" t="s">
        <v>30</v>
      </c>
      <c r="G19" s="28">
        <v>0</v>
      </c>
      <c r="I19" s="50"/>
      <c r="J19" s="50"/>
      <c r="K19" s="50"/>
    </row>
    <row r="21" spans="1:18" ht="15" thickBot="1">
      <c r="A21" s="49" t="s">
        <v>31</v>
      </c>
      <c r="B21" s="49"/>
      <c r="C21" s="49"/>
      <c r="D21" s="49"/>
      <c r="E21" s="49"/>
    </row>
    <row r="22" spans="1:18">
      <c r="A22" s="35"/>
      <c r="B22" s="35"/>
      <c r="C22" s="35"/>
      <c r="D22" s="35"/>
      <c r="E22" s="1" t="s">
        <v>9</v>
      </c>
      <c r="G22" s="27">
        <f>SLOPE('Water Delivery Exp'!C21:C29,'Water Delivery Exp'!B21:B29)</f>
        <v>-1.1553361389878064E-3</v>
      </c>
      <c r="H22" s="35"/>
      <c r="I22" s="50" t="s">
        <v>26</v>
      </c>
      <c r="J22" s="50"/>
      <c r="K22" s="50"/>
    </row>
    <row r="23" spans="1:18" ht="15" thickBot="1">
      <c r="A23" s="35"/>
      <c r="B23" s="35"/>
      <c r="C23" s="35"/>
      <c r="D23" s="35"/>
      <c r="E23" s="1" t="s">
        <v>30</v>
      </c>
      <c r="G23" s="28">
        <f>INTERCEPT('Water Delivery Exp'!C21:C29,'Water Delivery Exp'!B21:B29)</f>
        <v>0.13594273587281033</v>
      </c>
      <c r="H23" s="35"/>
      <c r="I23" s="50"/>
      <c r="J23" s="50"/>
      <c r="K23" s="50"/>
    </row>
    <row r="25" spans="1:18" ht="15" thickBot="1">
      <c r="A25" s="49" t="s">
        <v>43</v>
      </c>
      <c r="B25" s="49"/>
      <c r="C25" s="49"/>
      <c r="D25" s="49"/>
      <c r="E25" s="49"/>
    </row>
    <row r="26" spans="1:18">
      <c r="B26" s="51" t="s">
        <v>42</v>
      </c>
      <c r="C26" s="51"/>
      <c r="D26" s="51"/>
      <c r="E26" s="51"/>
      <c r="F26" s="38"/>
      <c r="G26" s="27">
        <v>30</v>
      </c>
      <c r="H26" s="2">
        <v>5</v>
      </c>
      <c r="I26" t="s">
        <v>56</v>
      </c>
      <c r="N26" t="s">
        <v>67</v>
      </c>
      <c r="O26">
        <v>60</v>
      </c>
      <c r="P26" t="s">
        <v>68</v>
      </c>
    </row>
    <row r="27" spans="1:18" ht="15" thickBot="1">
      <c r="E27" s="1" t="s">
        <v>55</v>
      </c>
      <c r="G27" s="28">
        <v>2</v>
      </c>
      <c r="I27" t="s">
        <v>62</v>
      </c>
      <c r="N27" t="s">
        <v>69</v>
      </c>
      <c r="O27">
        <v>8</v>
      </c>
      <c r="P27" t="s">
        <v>70</v>
      </c>
    </row>
    <row r="28" spans="1:18">
      <c r="I28" t="s">
        <v>74</v>
      </c>
      <c r="N28" t="s">
        <v>71</v>
      </c>
      <c r="O28">
        <f>5*60</f>
        <v>300</v>
      </c>
      <c r="P28" t="s">
        <v>72</v>
      </c>
      <c r="Q28">
        <f>O26</f>
        <v>60</v>
      </c>
      <c r="R28" t="s">
        <v>73</v>
      </c>
    </row>
    <row r="29" spans="1:18">
      <c r="I29" t="s">
        <v>99</v>
      </c>
    </row>
    <row r="32" spans="1:18">
      <c r="G32" s="2">
        <f>G27*O28</f>
        <v>600</v>
      </c>
      <c r="I32" t="s">
        <v>63</v>
      </c>
      <c r="M32" t="s">
        <v>75</v>
      </c>
      <c r="O32">
        <f>Output!K4</f>
        <v>106.66666666666667</v>
      </c>
    </row>
    <row r="33" spans="7:13">
      <c r="G33" s="2">
        <f>G32/60</f>
        <v>10</v>
      </c>
      <c r="I33" t="s">
        <v>64</v>
      </c>
      <c r="M33" t="s">
        <v>76</v>
      </c>
    </row>
    <row r="34" spans="7:13">
      <c r="G34" s="2">
        <f>(2*G11)*G33</f>
        <v>1120</v>
      </c>
      <c r="I34" t="s">
        <v>65</v>
      </c>
    </row>
    <row r="35" spans="7:13">
      <c r="G35" s="2">
        <f>G34/1000</f>
        <v>1.1200000000000001</v>
      </c>
      <c r="I35" t="s">
        <v>66</v>
      </c>
    </row>
    <row r="37" spans="7:13">
      <c r="G37" s="2">
        <f>G34*Output!K13</f>
        <v>13611531531.531532</v>
      </c>
      <c r="I37" t="s">
        <v>100</v>
      </c>
    </row>
  </sheetData>
  <mergeCells count="9">
    <mergeCell ref="A21:E21"/>
    <mergeCell ref="I22:K23"/>
    <mergeCell ref="B26:E26"/>
    <mergeCell ref="A25:E25"/>
    <mergeCell ref="A3:E3"/>
    <mergeCell ref="A9:E9"/>
    <mergeCell ref="A13:E13"/>
    <mergeCell ref="A17:E17"/>
    <mergeCell ref="I18:K1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activeCell="D29" sqref="D29"/>
    </sheetView>
  </sheetViews>
  <sheetFormatPr baseColWidth="10" defaultColWidth="8.83203125" defaultRowHeight="14" x14ac:dyDescent="0"/>
  <cols>
    <col min="2" max="2" width="25.6640625" customWidth="1"/>
    <col min="4" max="4" width="14.83203125" style="5" customWidth="1"/>
    <col min="5" max="5" width="15.5" customWidth="1"/>
    <col min="6" max="6" width="10.5" customWidth="1"/>
    <col min="8" max="8" width="11.5" customWidth="1"/>
  </cols>
  <sheetData>
    <row r="1" spans="2:9" ht="52.5" customHeight="1">
      <c r="B1" s="52" t="s">
        <v>23</v>
      </c>
      <c r="C1" s="52"/>
      <c r="D1" s="52"/>
      <c r="E1" s="52"/>
      <c r="F1" s="52"/>
      <c r="G1" s="52"/>
      <c r="H1" s="52"/>
      <c r="I1" s="52"/>
    </row>
    <row r="2" spans="2:9" ht="15" thickBot="1"/>
    <row r="3" spans="2:9" ht="50" thickBot="1">
      <c r="B3" s="21" t="s">
        <v>17</v>
      </c>
      <c r="C3" s="22" t="s">
        <v>18</v>
      </c>
      <c r="D3" s="7" t="s">
        <v>19</v>
      </c>
      <c r="E3" s="8" t="s">
        <v>20</v>
      </c>
      <c r="F3" s="9" t="s">
        <v>21</v>
      </c>
      <c r="G3" s="10" t="s">
        <v>22</v>
      </c>
      <c r="H3" s="6"/>
      <c r="I3" s="6"/>
    </row>
    <row r="4" spans="2:9">
      <c r="B4" s="17" t="s">
        <v>12</v>
      </c>
      <c r="C4" s="18">
        <v>0.25</v>
      </c>
      <c r="D4" s="19">
        <f>C4*('Input Page'!$G$14*'Input Page'!$G$4)</f>
        <v>2.5000000000000001E-2</v>
      </c>
      <c r="E4" s="20">
        <v>0.09</v>
      </c>
      <c r="F4" s="23">
        <f>D4/E4</f>
        <v>0.27777777777777779</v>
      </c>
      <c r="G4" s="24">
        <f>F4*1800/1000</f>
        <v>0.5</v>
      </c>
      <c r="H4" s="3"/>
      <c r="I4" s="3"/>
    </row>
    <row r="5" spans="2:9">
      <c r="B5" s="11" t="s">
        <v>13</v>
      </c>
      <c r="C5" s="12">
        <v>0.25</v>
      </c>
      <c r="D5" s="19">
        <f>C5*('Input Page'!$G$14*'Input Page'!$G$4)</f>
        <v>2.5000000000000001E-2</v>
      </c>
      <c r="E5" s="13">
        <v>0.09</v>
      </c>
      <c r="F5" s="25">
        <f t="shared" ref="F5:F8" si="0">D5/E5</f>
        <v>0.27777777777777779</v>
      </c>
      <c r="G5" s="26">
        <f t="shared" ref="G5:G8" si="1">F5*1800/1000</f>
        <v>0.5</v>
      </c>
      <c r="H5" s="3"/>
      <c r="I5" s="3"/>
    </row>
    <row r="6" spans="2:9">
      <c r="B6" s="11" t="s">
        <v>14</v>
      </c>
      <c r="C6" s="12">
        <v>0.5</v>
      </c>
      <c r="D6" s="19">
        <f>C6*('Input Page'!$G$14*'Input Page'!$G$4)</f>
        <v>0.05</v>
      </c>
      <c r="E6" s="13">
        <v>0.09</v>
      </c>
      <c r="F6" s="25">
        <f t="shared" si="0"/>
        <v>0.55555555555555558</v>
      </c>
      <c r="G6" s="26">
        <f t="shared" si="1"/>
        <v>1</v>
      </c>
      <c r="H6" s="3"/>
      <c r="I6" s="3"/>
    </row>
    <row r="7" spans="2:9">
      <c r="B7" s="11" t="s">
        <v>15</v>
      </c>
      <c r="C7" s="12">
        <v>0</v>
      </c>
      <c r="D7" s="19">
        <f>C7*('Input Page'!$G$14*'Input Page'!$G$4)</f>
        <v>0</v>
      </c>
      <c r="E7" s="13">
        <v>0.189</v>
      </c>
      <c r="F7" s="25">
        <f t="shared" si="0"/>
        <v>0</v>
      </c>
      <c r="G7" s="26">
        <f t="shared" si="1"/>
        <v>0</v>
      </c>
      <c r="H7" s="3"/>
      <c r="I7" s="3"/>
    </row>
    <row r="8" spans="2:9">
      <c r="B8" s="11" t="s">
        <v>16</v>
      </c>
      <c r="C8" s="12">
        <v>0</v>
      </c>
      <c r="D8" s="19">
        <f>C8*('Input Page'!$G$14*'Input Page'!$G$4)</f>
        <v>0</v>
      </c>
      <c r="E8" s="13">
        <v>0.184</v>
      </c>
      <c r="F8" s="25">
        <f t="shared" si="0"/>
        <v>0</v>
      </c>
      <c r="G8" s="26">
        <f t="shared" si="1"/>
        <v>0</v>
      </c>
      <c r="H8" s="3"/>
      <c r="I8" s="3"/>
    </row>
    <row r="9" spans="2:9">
      <c r="B9" s="14"/>
      <c r="C9" s="15">
        <v>1</v>
      </c>
      <c r="D9" s="16">
        <f>SUM(D4:D8)</f>
        <v>0.1</v>
      </c>
      <c r="E9" s="16">
        <f t="shared" ref="E9:G9" si="2">SUM(E4:E8)</f>
        <v>0.64300000000000002</v>
      </c>
      <c r="F9" s="16">
        <f>SUM(F4:F8)</f>
        <v>1.1111111111111112</v>
      </c>
      <c r="G9" s="16">
        <f t="shared" si="2"/>
        <v>2</v>
      </c>
      <c r="H9" s="4"/>
      <c r="I9" s="3"/>
    </row>
  </sheetData>
  <mergeCells count="1">
    <mergeCell ref="B1:I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E13" sqref="E13"/>
    </sheetView>
  </sheetViews>
  <sheetFormatPr baseColWidth="10" defaultColWidth="8.83203125" defaultRowHeight="14" x14ac:dyDescent="0"/>
  <cols>
    <col min="2" max="2" width="8.83203125" style="2"/>
    <col min="3" max="3" width="11.1640625" style="2" customWidth="1"/>
    <col min="4" max="4" width="1" style="2" customWidth="1"/>
    <col min="5" max="5" width="10.33203125" style="2" customWidth="1"/>
    <col min="6" max="7" width="8.83203125" style="2"/>
    <col min="18" max="18" width="13.5" bestFit="1" customWidth="1"/>
    <col min="19" max="19" width="11" bestFit="1" customWidth="1"/>
    <col min="20" max="20" width="12.6640625" bestFit="1" customWidth="1"/>
  </cols>
  <sheetData>
    <row r="1" spans="1:25" s="35" customFormat="1">
      <c r="B1" s="2"/>
      <c r="C1" s="2"/>
      <c r="D1" s="2"/>
      <c r="E1" s="2"/>
      <c r="F1" s="2"/>
      <c r="G1" s="2"/>
    </row>
    <row r="2" spans="1:25" s="35" customFormat="1">
      <c r="B2" s="2"/>
      <c r="C2" s="2"/>
      <c r="D2" s="2"/>
      <c r="E2" s="2"/>
      <c r="F2" s="2"/>
      <c r="G2" s="2"/>
    </row>
    <row r="3" spans="1:25" s="35" customFormat="1">
      <c r="B3" s="2"/>
      <c r="C3" s="2"/>
      <c r="D3" s="2"/>
      <c r="E3" s="2"/>
      <c r="F3" s="2"/>
      <c r="G3" s="2"/>
    </row>
    <row r="4" spans="1:25" s="35" customFormat="1">
      <c r="A4" s="51" t="s">
        <v>33</v>
      </c>
      <c r="B4" s="51"/>
      <c r="C4" s="51"/>
      <c r="D4" s="2"/>
      <c r="E4" s="2">
        <v>1.349</v>
      </c>
      <c r="F4" s="2"/>
      <c r="G4" s="2"/>
    </row>
    <row r="5" spans="1:25" s="35" customFormat="1">
      <c r="A5" s="51" t="s">
        <v>34</v>
      </c>
      <c r="B5" s="51"/>
      <c r="C5" s="51"/>
      <c r="D5" s="2"/>
      <c r="E5" s="2">
        <v>0</v>
      </c>
      <c r="F5" s="31" t="s">
        <v>35</v>
      </c>
      <c r="G5" s="31"/>
      <c r="H5" s="31"/>
      <c r="Q5" s="35" t="s">
        <v>77</v>
      </c>
      <c r="R5" s="35" t="s">
        <v>81</v>
      </c>
      <c r="S5" s="35" t="s">
        <v>82</v>
      </c>
      <c r="T5" s="35" t="s">
        <v>83</v>
      </c>
      <c r="U5" s="35" t="s">
        <v>85</v>
      </c>
      <c r="V5" s="35" t="s">
        <v>84</v>
      </c>
    </row>
    <row r="6" spans="1:25" s="35" customFormat="1">
      <c r="B6" s="2"/>
      <c r="C6" s="2"/>
      <c r="D6" s="2"/>
      <c r="E6" s="2"/>
      <c r="F6" s="2"/>
      <c r="G6" s="2"/>
      <c r="Q6" s="35" t="s">
        <v>78</v>
      </c>
      <c r="R6" s="35">
        <v>109</v>
      </c>
      <c r="S6" s="35">
        <v>16</v>
      </c>
      <c r="T6" s="35">
        <f>1/4*1/4</f>
        <v>6.25E-2</v>
      </c>
      <c r="U6" s="35">
        <f>T6*S6</f>
        <v>1</v>
      </c>
      <c r="V6" s="35">
        <f>R6/U6*10</f>
        <v>1090</v>
      </c>
    </row>
    <row r="7" spans="1:25">
      <c r="Q7" t="s">
        <v>86</v>
      </c>
      <c r="R7">
        <v>32</v>
      </c>
      <c r="S7">
        <v>16</v>
      </c>
      <c r="T7" s="35">
        <f t="shared" ref="T7:T12" si="0">1/4*1/4</f>
        <v>6.25E-2</v>
      </c>
      <c r="U7" s="35">
        <f t="shared" ref="U7:U12" si="1">T7*S7</f>
        <v>1</v>
      </c>
      <c r="V7" s="35">
        <f t="shared" ref="V7:V12" si="2">R7/U7*10</f>
        <v>320</v>
      </c>
      <c r="W7" t="s">
        <v>80</v>
      </c>
      <c r="Y7">
        <f>V7/V9</f>
        <v>0.08</v>
      </c>
    </row>
    <row r="8" spans="1:25">
      <c r="B8" s="33" t="s">
        <v>28</v>
      </c>
      <c r="Q8" t="s">
        <v>79</v>
      </c>
      <c r="R8">
        <f>17*S8</f>
        <v>272</v>
      </c>
      <c r="S8" s="35">
        <v>16</v>
      </c>
      <c r="T8" s="35">
        <f t="shared" si="0"/>
        <v>6.25E-2</v>
      </c>
      <c r="U8" s="35">
        <f t="shared" si="1"/>
        <v>1</v>
      </c>
      <c r="V8" s="35">
        <f t="shared" si="2"/>
        <v>2720</v>
      </c>
    </row>
    <row r="9" spans="1:25" s="30" customFormat="1" ht="42">
      <c r="B9" s="29" t="s">
        <v>27</v>
      </c>
      <c r="C9" s="29" t="s">
        <v>32</v>
      </c>
      <c r="D9" s="29"/>
      <c r="E9" s="29"/>
      <c r="F9" s="29"/>
      <c r="G9" s="29"/>
      <c r="Q9" s="30" t="s">
        <v>80</v>
      </c>
      <c r="R9" s="30">
        <f>25*S9</f>
        <v>400</v>
      </c>
      <c r="S9" s="35">
        <v>16</v>
      </c>
      <c r="T9" s="35">
        <f t="shared" si="0"/>
        <v>6.25E-2</v>
      </c>
      <c r="U9" s="35">
        <f t="shared" si="1"/>
        <v>1</v>
      </c>
      <c r="V9" s="35">
        <f>R9/U9*10</f>
        <v>4000</v>
      </c>
      <c r="W9" s="30" t="s">
        <v>90</v>
      </c>
      <c r="X9" s="30">
        <f>V9/10</f>
        <v>400</v>
      </c>
    </row>
    <row r="10" spans="1:25">
      <c r="B10" s="2">
        <v>0</v>
      </c>
      <c r="C10" s="32">
        <v>2E-3</v>
      </c>
      <c r="E10" s="2">
        <f t="shared" ref="E10:E12" si="3">(0.0074*B10)/$E$4</f>
        <v>0</v>
      </c>
      <c r="Q10" t="s">
        <v>87</v>
      </c>
      <c r="R10">
        <v>0</v>
      </c>
      <c r="S10" s="35">
        <v>16</v>
      </c>
      <c r="T10" s="35">
        <f t="shared" si="0"/>
        <v>6.25E-2</v>
      </c>
      <c r="U10" s="35">
        <f t="shared" si="1"/>
        <v>1</v>
      </c>
      <c r="V10" s="35">
        <f t="shared" si="2"/>
        <v>0</v>
      </c>
      <c r="W10" t="s">
        <v>89</v>
      </c>
    </row>
    <row r="11" spans="1:25">
      <c r="B11" s="2">
        <v>1</v>
      </c>
      <c r="C11" s="32">
        <v>0.01</v>
      </c>
      <c r="E11" s="2">
        <f t="shared" si="3"/>
        <v>5.485544848035582E-3</v>
      </c>
      <c r="Q11" t="s">
        <v>88</v>
      </c>
      <c r="R11">
        <v>4</v>
      </c>
      <c r="S11" s="35">
        <v>16</v>
      </c>
      <c r="T11" s="35">
        <f t="shared" si="0"/>
        <v>6.25E-2</v>
      </c>
      <c r="U11" s="35">
        <f t="shared" si="1"/>
        <v>1</v>
      </c>
      <c r="V11" s="35">
        <f t="shared" si="2"/>
        <v>40</v>
      </c>
      <c r="W11" t="s">
        <v>80</v>
      </c>
    </row>
    <row r="12" spans="1:25">
      <c r="B12" s="2">
        <v>4</v>
      </c>
      <c r="C12" s="32">
        <v>3.6999999999999998E-2</v>
      </c>
      <c r="E12" s="2">
        <f t="shared" si="3"/>
        <v>2.1942179392142328E-2</v>
      </c>
      <c r="S12" s="35">
        <v>16</v>
      </c>
      <c r="T12" s="35">
        <f t="shared" si="0"/>
        <v>6.25E-2</v>
      </c>
      <c r="U12" s="35">
        <f t="shared" si="1"/>
        <v>1</v>
      </c>
      <c r="V12" s="35">
        <f t="shared" si="2"/>
        <v>0</v>
      </c>
      <c r="Y12">
        <f>4000*1.92</f>
        <v>7680</v>
      </c>
    </row>
    <row r="13" spans="1:25">
      <c r="B13" s="2">
        <v>5</v>
      </c>
      <c r="C13" s="32">
        <v>4.2000000000000003E-2</v>
      </c>
      <c r="E13" s="2">
        <f>(0.0074*B13)/$E$4</f>
        <v>2.7427724240177913E-2</v>
      </c>
      <c r="Y13">
        <f>10*Y12/4000</f>
        <v>19.2</v>
      </c>
    </row>
    <row r="14" spans="1:25">
      <c r="B14" s="2">
        <v>7</v>
      </c>
      <c r="C14" s="32">
        <v>5.8999999999999997E-2</v>
      </c>
      <c r="E14" s="2">
        <f t="shared" ref="E14:E17" si="4">(0.0074*B14)/$E$4</f>
        <v>3.8398813936249075E-2</v>
      </c>
    </row>
    <row r="15" spans="1:25">
      <c r="B15" s="2">
        <v>10</v>
      </c>
      <c r="C15" s="32">
        <v>7.9000000000000001E-2</v>
      </c>
      <c r="E15" s="2">
        <f t="shared" si="4"/>
        <v>5.4855448480355826E-2</v>
      </c>
      <c r="V15" t="s">
        <v>80</v>
      </c>
      <c r="W15">
        <f>10*25000/4000</f>
        <v>62.5</v>
      </c>
    </row>
    <row r="16" spans="1:25">
      <c r="B16" s="2">
        <v>15</v>
      </c>
      <c r="C16" s="32">
        <v>0.10199999999999999</v>
      </c>
      <c r="E16" s="2">
        <f t="shared" si="4"/>
        <v>8.2283172720533732E-2</v>
      </c>
    </row>
    <row r="17" spans="2:21">
      <c r="B17" s="2">
        <v>20</v>
      </c>
      <c r="C17" s="32">
        <v>0.14699999999999999</v>
      </c>
      <c r="E17" s="2">
        <f t="shared" si="4"/>
        <v>0.10971089696071165</v>
      </c>
    </row>
    <row r="19" spans="2:21">
      <c r="B19" s="33" t="s">
        <v>29</v>
      </c>
    </row>
    <row r="20" spans="2:21" s="30" customFormat="1" ht="42">
      <c r="B20" s="29" t="s">
        <v>27</v>
      </c>
      <c r="C20" s="29" t="s">
        <v>32</v>
      </c>
      <c r="D20" s="29"/>
      <c r="E20" s="29"/>
      <c r="F20" s="29"/>
      <c r="G20" s="29"/>
    </row>
    <row r="21" spans="2:21">
      <c r="B21" s="34">
        <v>0</v>
      </c>
      <c r="C21" s="35">
        <v>0.14699999999999999</v>
      </c>
    </row>
    <row r="22" spans="2:21">
      <c r="B22" s="34">
        <v>2</v>
      </c>
      <c r="C22" s="35">
        <v>0.14000000000000001</v>
      </c>
    </row>
    <row r="23" spans="2:21">
      <c r="B23" s="34">
        <v>5</v>
      </c>
      <c r="C23" s="35">
        <v>0.13700000000000001</v>
      </c>
    </row>
    <row r="24" spans="2:21">
      <c r="B24" s="34">
        <v>10</v>
      </c>
      <c r="C24" s="35">
        <v>0.113</v>
      </c>
      <c r="T24" s="47">
        <f>4000*15000</f>
        <v>60000000</v>
      </c>
      <c r="U24" t="s">
        <v>92</v>
      </c>
    </row>
    <row r="25" spans="2:21">
      <c r="B25" s="34">
        <v>15</v>
      </c>
      <c r="C25" s="35">
        <v>0.11</v>
      </c>
      <c r="T25" s="47">
        <f>T24/10</f>
        <v>6000000</v>
      </c>
      <c r="U25" t="s">
        <v>91</v>
      </c>
    </row>
    <row r="26" spans="2:21">
      <c r="B26" s="34">
        <v>20</v>
      </c>
      <c r="C26" s="35">
        <v>0.108</v>
      </c>
      <c r="T26">
        <f>T25/2000000000</f>
        <v>3.0000000000000001E-3</v>
      </c>
    </row>
    <row r="27" spans="2:21">
      <c r="B27" s="34">
        <v>30</v>
      </c>
      <c r="C27" s="35">
        <v>9.5000000000000001E-2</v>
      </c>
    </row>
    <row r="28" spans="2:21">
      <c r="B28" s="34">
        <v>60</v>
      </c>
      <c r="C28" s="35">
        <v>7.0000000000000007E-2</v>
      </c>
    </row>
    <row r="29" spans="2:21">
      <c r="B29" s="34">
        <v>80</v>
      </c>
      <c r="C29" s="35">
        <v>4.7E-2</v>
      </c>
      <c r="I29">
        <f>0.0074*5</f>
        <v>3.7000000000000005E-2</v>
      </c>
      <c r="T29">
        <f>T24/15000</f>
        <v>4000</v>
      </c>
    </row>
  </sheetData>
  <mergeCells count="2">
    <mergeCell ref="A5:C5"/>
    <mergeCell ref="A4:C4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6"/>
  <sheetViews>
    <sheetView tabSelected="1" topLeftCell="B1" workbookViewId="0">
      <selection activeCell="E32" sqref="E32"/>
    </sheetView>
  </sheetViews>
  <sheetFormatPr baseColWidth="10" defaultColWidth="8.83203125" defaultRowHeight="14" x14ac:dyDescent="0"/>
  <cols>
    <col min="5" max="5" width="14.6640625" customWidth="1"/>
    <col min="6" max="6" width="0.5" customWidth="1"/>
    <col min="7" max="7" width="11" style="2" bestFit="1" customWidth="1"/>
    <col min="8" max="8" width="0.5" customWidth="1"/>
    <col min="10" max="10" width="0.5" customWidth="1"/>
    <col min="11" max="11" width="15.33203125" customWidth="1"/>
    <col min="13" max="13" width="12" bestFit="1" customWidth="1"/>
    <col min="14" max="14" width="12.1640625" customWidth="1"/>
    <col min="15" max="15" width="10" bestFit="1" customWidth="1"/>
  </cols>
  <sheetData>
    <row r="3" spans="2:15">
      <c r="B3" s="51" t="s">
        <v>41</v>
      </c>
      <c r="C3" s="51"/>
      <c r="D3" s="51"/>
      <c r="E3" s="51"/>
      <c r="G3" s="39">
        <f>'Feeding Table'!F9*'Input Page'!G5</f>
        <v>6.666666666666667</v>
      </c>
      <c r="I3" t="s">
        <v>37</v>
      </c>
    </row>
    <row r="4" spans="2:15">
      <c r="B4" s="51" t="s">
        <v>40</v>
      </c>
      <c r="C4" s="51"/>
      <c r="D4" s="51"/>
      <c r="E4" s="51"/>
      <c r="G4" s="39">
        <f>G3*'Input Page'!G6</f>
        <v>53.333333333333336</v>
      </c>
      <c r="I4" t="s">
        <v>37</v>
      </c>
      <c r="K4">
        <f>G4*2</f>
        <v>106.66666666666667</v>
      </c>
      <c r="N4">
        <f>K4*10000000</f>
        <v>1066666666.6666667</v>
      </c>
      <c r="O4" t="s">
        <v>101</v>
      </c>
    </row>
    <row r="5" spans="2:15">
      <c r="B5" s="51" t="s">
        <v>39</v>
      </c>
      <c r="C5" s="51"/>
      <c r="D5" s="51"/>
      <c r="E5" s="51"/>
      <c r="G5" s="48">
        <v>2000</v>
      </c>
      <c r="I5" t="s">
        <v>45</v>
      </c>
      <c r="K5" t="s">
        <v>44</v>
      </c>
      <c r="N5">
        <f>N4/24</f>
        <v>44444444.444444448</v>
      </c>
    </row>
    <row r="7" spans="2:15">
      <c r="E7" s="1" t="s">
        <v>46</v>
      </c>
      <c r="G7" s="39">
        <f>(G5)*'Water Delivery Exp'!E4/('Input Page'!G18*'Input Page'!G26+'Input Page'!G19)</f>
        <v>12153.153153153153</v>
      </c>
      <c r="I7" t="s">
        <v>45</v>
      </c>
    </row>
    <row r="9" spans="2:15" ht="15" thickBot="1"/>
    <row r="10" spans="2:15" ht="16" thickBot="1">
      <c r="D10" s="53" t="s">
        <v>49</v>
      </c>
      <c r="E10" s="54"/>
      <c r="F10" s="54"/>
      <c r="G10" s="54"/>
      <c r="H10" s="54"/>
      <c r="I10" s="55"/>
    </row>
    <row r="12" spans="2:15">
      <c r="E12" s="1" t="s">
        <v>47</v>
      </c>
      <c r="G12" s="40">
        <f>(G7*G13)/10000000</f>
        <v>18.22972972972973</v>
      </c>
      <c r="I12" t="s">
        <v>37</v>
      </c>
      <c r="K12">
        <f>G12*10000000000</f>
        <v>182297297297.2973</v>
      </c>
    </row>
    <row r="13" spans="2:15">
      <c r="C13" s="51" t="s">
        <v>48</v>
      </c>
      <c r="D13" s="51"/>
      <c r="E13" s="51"/>
      <c r="G13" s="40">
        <v>15000</v>
      </c>
      <c r="I13" t="s">
        <v>37</v>
      </c>
      <c r="K13">
        <f>K12/G13</f>
        <v>12153153.153153153</v>
      </c>
      <c r="L13" t="s">
        <v>98</v>
      </c>
    </row>
    <row r="14" spans="2:15">
      <c r="K14" s="47">
        <f>K13*'Water Delivery Exp'!E13</f>
        <v>333333.33333333337</v>
      </c>
      <c r="L14" t="s">
        <v>60</v>
      </c>
    </row>
    <row r="15" spans="2:15" ht="15" thickBot="1"/>
    <row r="16" spans="2:15" ht="16" thickBot="1">
      <c r="D16" s="53" t="s">
        <v>50</v>
      </c>
      <c r="E16" s="54"/>
      <c r="F16" s="54"/>
      <c r="G16" s="54"/>
      <c r="H16" s="54"/>
      <c r="I16" s="55"/>
    </row>
    <row r="17" spans="4:16">
      <c r="M17">
        <f>120*5</f>
        <v>600</v>
      </c>
      <c r="N17">
        <f>K13*M17</f>
        <v>7291891891.8918915</v>
      </c>
      <c r="O17">
        <f>N17/8</f>
        <v>911486486.48648643</v>
      </c>
      <c r="P17">
        <f>O17/2000000000</f>
        <v>0.45574324324324322</v>
      </c>
    </row>
    <row r="18" spans="4:16">
      <c r="D18" s="42">
        <v>0.5</v>
      </c>
      <c r="E18" s="42">
        <v>1</v>
      </c>
      <c r="F18" s="43"/>
      <c r="G18" s="42">
        <v>2</v>
      </c>
      <c r="I18" t="s">
        <v>51</v>
      </c>
      <c r="P18">
        <f>P17*7</f>
        <v>3.1902027027027025</v>
      </c>
    </row>
    <row r="19" spans="4:16">
      <c r="D19" s="43">
        <f>G7*0.5</f>
        <v>6076.5765765765764</v>
      </c>
      <c r="E19" s="43">
        <f>G7*1</f>
        <v>12153.153153153153</v>
      </c>
      <c r="F19" s="43"/>
      <c r="G19" s="43">
        <f>G7*2</f>
        <v>24306.306306306305</v>
      </c>
      <c r="I19" t="s">
        <v>52</v>
      </c>
      <c r="N19">
        <f>O19*8</f>
        <v>13333333333.333334</v>
      </c>
      <c r="O19">
        <f>P19*2000000000</f>
        <v>1666666666.6666667</v>
      </c>
      <c r="P19">
        <f>G3/8</f>
        <v>0.83333333333333337</v>
      </c>
    </row>
    <row r="20" spans="4:16">
      <c r="D20" s="41">
        <f>(D19*15000)/2000000000</f>
        <v>4.5574324324324324E-2</v>
      </c>
      <c r="E20" s="41">
        <f t="shared" ref="E20" si="0">(E19*15000)/2000000000</f>
        <v>9.1148648648648647E-2</v>
      </c>
      <c r="F20" s="41"/>
      <c r="G20" s="41">
        <f>(G19*15000)/2000000000</f>
        <v>0.18229729729729729</v>
      </c>
      <c r="I20" t="s">
        <v>53</v>
      </c>
    </row>
    <row r="21" spans="4:16">
      <c r="D21" s="41">
        <v>150000</v>
      </c>
      <c r="E21" s="41">
        <v>150000</v>
      </c>
      <c r="F21" s="41">
        <v>150000</v>
      </c>
      <c r="G21" s="41">
        <v>150000</v>
      </c>
      <c r="I21" t="s">
        <v>54</v>
      </c>
    </row>
    <row r="23" spans="4:16" ht="15" thickBot="1"/>
    <row r="24" spans="4:16" ht="16" thickBot="1">
      <c r="D24" s="53" t="s">
        <v>57</v>
      </c>
      <c r="E24" s="54"/>
      <c r="F24" s="54"/>
      <c r="G24" s="54"/>
      <c r="H24" s="54"/>
      <c r="I24" s="55"/>
    </row>
    <row r="26" spans="4:16">
      <c r="K26" t="s">
        <v>59</v>
      </c>
    </row>
  </sheetData>
  <mergeCells count="7">
    <mergeCell ref="D16:I16"/>
    <mergeCell ref="D24:I24"/>
    <mergeCell ref="B3:E3"/>
    <mergeCell ref="B4:E4"/>
    <mergeCell ref="B5:E5"/>
    <mergeCell ref="C13:E13"/>
    <mergeCell ref="D10:I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2" sqref="B12"/>
    </sheetView>
  </sheetViews>
  <sheetFormatPr baseColWidth="10" defaultColWidth="8.83203125" defaultRowHeight="14" x14ac:dyDescent="0"/>
  <cols>
    <col min="3" max="3" width="8.83203125" style="46"/>
  </cols>
  <sheetData>
    <row r="3" spans="2:4">
      <c r="B3" t="s">
        <v>61</v>
      </c>
    </row>
    <row r="4" spans="2:4">
      <c r="B4" s="45">
        <v>0</v>
      </c>
      <c r="C4" s="46">
        <v>0</v>
      </c>
      <c r="D4">
        <f>'Input Page'!$G$22*C4+'Input Page'!$G$23</f>
        <v>0.13594273587281033</v>
      </c>
    </row>
    <row r="5" spans="2:4">
      <c r="B5" s="45">
        <v>3.472222222222222E-3</v>
      </c>
      <c r="C5" s="46">
        <v>5</v>
      </c>
      <c r="D5" s="35">
        <f>'Input Page'!$G$22*C5+'Input Page'!$G$23</f>
        <v>0.1301660551778713</v>
      </c>
    </row>
    <row r="6" spans="2:4">
      <c r="B6" s="45">
        <v>2.0833333333333298E-3</v>
      </c>
      <c r="C6" s="46">
        <v>7</v>
      </c>
      <c r="D6" s="35">
        <f>'Input Page'!$G$22*C6+'Input Page'!$G$23</f>
        <v>0.12785538289989568</v>
      </c>
    </row>
    <row r="7" spans="2:4">
      <c r="B7" s="45">
        <v>2.7777777777777801E-3</v>
      </c>
      <c r="C7" s="46">
        <v>10</v>
      </c>
      <c r="D7" s="35">
        <f>'Input Page'!$G$22*C7+'Input Page'!$G$23</f>
        <v>0.12438937448293227</v>
      </c>
    </row>
    <row r="8" spans="2:4">
      <c r="B8" s="45">
        <v>3.4722222222222199E-3</v>
      </c>
      <c r="C8" s="46">
        <v>20</v>
      </c>
      <c r="D8" s="35">
        <f>'Input Page'!$G$22*C8+'Input Page'!$G$23</f>
        <v>0.1128360130930542</v>
      </c>
    </row>
    <row r="9" spans="2:4">
      <c r="B9" s="45">
        <v>4.1666666666666664E-2</v>
      </c>
      <c r="C9" s="46">
        <v>60</v>
      </c>
      <c r="D9" s="35">
        <f>'Input Page'!$G$22*C9+'Input Page'!$G$23</f>
        <v>6.6622567533541954E-2</v>
      </c>
    </row>
    <row r="10" spans="2:4">
      <c r="B10" s="45">
        <v>8.3333333333333329E-2</v>
      </c>
      <c r="C10" s="46">
        <v>120</v>
      </c>
      <c r="D10" s="35">
        <f>'Input Page'!$G$22*C10+'Input Page'!$G$23</f>
        <v>-2.6976008057264245E-3</v>
      </c>
    </row>
    <row r="11" spans="2:4">
      <c r="B11" s="44">
        <v>0.19999999999999998</v>
      </c>
      <c r="C11" s="46">
        <v>0</v>
      </c>
    </row>
    <row r="12" spans="2:4">
      <c r="C12" s="46">
        <v>5</v>
      </c>
    </row>
    <row r="13" spans="2:4">
      <c r="C13" s="46">
        <v>7</v>
      </c>
    </row>
    <row r="14" spans="2:4">
      <c r="C14" s="46">
        <v>10</v>
      </c>
    </row>
    <row r="15" spans="2:4">
      <c r="C15" s="46">
        <v>20</v>
      </c>
    </row>
    <row r="16" spans="2:4">
      <c r="C16" s="46">
        <v>60</v>
      </c>
    </row>
    <row r="17" spans="3:3">
      <c r="C17" s="46">
        <v>120</v>
      </c>
    </row>
    <row r="18" spans="3:3">
      <c r="C18" s="46"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30" zoomScaleNormal="130" zoomScalePageLayoutView="130" workbookViewId="0">
      <selection activeCell="E25" sqref="E25"/>
    </sheetView>
  </sheetViews>
  <sheetFormatPr baseColWidth="10" defaultColWidth="8.83203125" defaultRowHeight="14" x14ac:dyDescent="0"/>
  <cols>
    <col min="2" max="2" width="12.5" bestFit="1" customWidth="1"/>
    <col min="3" max="3" width="12" bestFit="1" customWidth="1"/>
    <col min="4" max="4" width="14.83203125" bestFit="1" customWidth="1"/>
    <col min="6" max="6" width="13.83203125" bestFit="1" customWidth="1"/>
    <col min="14" max="14" width="20.33203125" customWidth="1"/>
  </cols>
  <sheetData>
    <row r="1" spans="1:6" s="35" customFormat="1"/>
    <row r="2" spans="1:6" s="30" customFormat="1" ht="28">
      <c r="A2" s="30" t="s">
        <v>95</v>
      </c>
      <c r="B2" s="30" t="s">
        <v>94</v>
      </c>
      <c r="C2" s="30" t="s">
        <v>93</v>
      </c>
    </row>
    <row r="3" spans="1:6">
      <c r="A3">
        <v>1</v>
      </c>
      <c r="B3">
        <v>2000000000</v>
      </c>
      <c r="D3" s="47"/>
      <c r="F3" s="47"/>
    </row>
    <row r="4" spans="1:6">
      <c r="A4">
        <f>A3*0.1</f>
        <v>0.1</v>
      </c>
      <c r="B4">
        <f>B3*0.1</f>
        <v>200000000</v>
      </c>
      <c r="C4">
        <f>31*16*25*10</f>
        <v>124000</v>
      </c>
    </row>
    <row r="5" spans="1:6">
      <c r="A5">
        <f>A4*0.1</f>
        <v>1.0000000000000002E-2</v>
      </c>
      <c r="B5">
        <f>B4*0.1</f>
        <v>20000000</v>
      </c>
      <c r="C5">
        <f>10*16*25*10</f>
        <v>40000</v>
      </c>
      <c r="D5" s="35"/>
    </row>
    <row r="6" spans="1:6">
      <c r="A6" s="35">
        <f t="shared" ref="A6:A9" si="0">A5*0.1</f>
        <v>1.0000000000000002E-3</v>
      </c>
      <c r="B6">
        <f>B5*0.1</f>
        <v>2000000</v>
      </c>
      <c r="C6">
        <f>13*25*10</f>
        <v>3250</v>
      </c>
      <c r="D6" s="35"/>
    </row>
    <row r="7" spans="1:6">
      <c r="A7" s="35">
        <f t="shared" si="0"/>
        <v>1.0000000000000003E-4</v>
      </c>
      <c r="B7">
        <f>B6*0.1</f>
        <v>200000</v>
      </c>
      <c r="C7">
        <f>10*16*10</f>
        <v>1600</v>
      </c>
      <c r="D7" s="35"/>
    </row>
    <row r="8" spans="1:6">
      <c r="A8" s="35">
        <f t="shared" si="0"/>
        <v>1.0000000000000004E-5</v>
      </c>
      <c r="B8">
        <f>B7*0.1</f>
        <v>20000</v>
      </c>
    </row>
    <row r="9" spans="1:6">
      <c r="A9" s="35">
        <f t="shared" si="0"/>
        <v>1.0000000000000004E-6</v>
      </c>
      <c r="B9">
        <f>B8*0.1</f>
        <v>2000</v>
      </c>
    </row>
    <row r="11" spans="1:6">
      <c r="B11" t="s">
        <v>97</v>
      </c>
    </row>
    <row r="12" spans="1:6">
      <c r="A12">
        <v>1</v>
      </c>
      <c r="B12" s="47">
        <f>(1*10^6)*A12</f>
        <v>1000000</v>
      </c>
    </row>
    <row r="16" spans="1:6">
      <c r="B16" t="s">
        <v>96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Input Page</vt:lpstr>
      <vt:lpstr>Feeding Table</vt:lpstr>
      <vt:lpstr>Water Delivery Exp</vt:lpstr>
      <vt:lpstr>Output</vt:lpstr>
      <vt:lpstr>Output - Decay Rate</vt:lpstr>
      <vt:lpstr>Serial Dilution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Emma Timmins-Schiffman</cp:lastModifiedBy>
  <dcterms:created xsi:type="dcterms:W3CDTF">2011-10-26T16:39:19Z</dcterms:created>
  <dcterms:modified xsi:type="dcterms:W3CDTF">2012-01-20T03:53:21Z</dcterms:modified>
</cp:coreProperties>
</file>